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7170" activeTab="0"/>
  </bookViews>
  <sheets>
    <sheet name="25Jahre" sheetId="1" r:id="rId1"/>
  </sheets>
  <definedNames>
    <definedName name="_xlnm.Print_Area" localSheetId="0">'25Jahre'!$A$1:$M$46</definedName>
    <definedName name="ExterneDaten_1" localSheetId="0">'25Jahre'!$A$13:$L$46</definedName>
  </definedNames>
  <calcPr fullCalcOnLoad="1"/>
</workbook>
</file>

<file path=xl/sharedStrings.xml><?xml version="1.0" encoding="utf-8"?>
<sst xmlns="http://schemas.openxmlformats.org/spreadsheetml/2006/main" count="70" uniqueCount="67">
  <si>
    <t>Finanzplan</t>
  </si>
  <si>
    <t>Zinsen</t>
  </si>
  <si>
    <t>Tilgung</t>
  </si>
  <si>
    <t>Restschuld</t>
  </si>
  <si>
    <t>Strom-Ertrag</t>
  </si>
  <si>
    <t>Zählergebühr</t>
  </si>
  <si>
    <t>Rücklage</t>
  </si>
  <si>
    <t>Start</t>
  </si>
  <si>
    <t xml:space="preserve">Größe / Leistung der Anlage </t>
  </si>
  <si>
    <t xml:space="preserve">kWp </t>
  </si>
  <si>
    <t xml:space="preserve">Förderung NRW / REN-Programm </t>
  </si>
  <si>
    <t>€</t>
  </si>
  <si>
    <t>kWh/kWp</t>
  </si>
  <si>
    <t xml:space="preserve">Voraussichtlicher Minderertrag </t>
  </si>
  <si>
    <t>%</t>
  </si>
  <si>
    <t xml:space="preserve">nicht öffentliche Fördergelder </t>
  </si>
  <si>
    <t xml:space="preserve">Jahr der Inbetriebname </t>
  </si>
  <si>
    <t xml:space="preserve">Zinssatz Restsumme </t>
  </si>
  <si>
    <t xml:space="preserve">Voraussichtliche Einspeisevergütung laut EEG </t>
  </si>
  <si>
    <t xml:space="preserve">spezif. Jahresertr. einer opt. inst. Anlage: </t>
  </si>
  <si>
    <t xml:space="preserve">% bei einerRestfinanzierung von </t>
  </si>
  <si>
    <t xml:space="preserve">% bei einem Kreditbetrag von </t>
  </si>
  <si>
    <t>Anfangstilgung Bank</t>
  </si>
  <si>
    <t>% pro Jahr</t>
  </si>
  <si>
    <t xml:space="preserve">Wirtschaftlichkeitsberechnung in Anlehnung an den Online-PV-Förderrechner (c/o Energieagentur NRW) </t>
  </si>
  <si>
    <t>Die Anlage</t>
  </si>
  <si>
    <t>Strompreis/ Vergütung nach 20 Jahren :</t>
  </si>
  <si>
    <t>Gewinne/Verluste nach dem 25. Jahr</t>
  </si>
  <si>
    <t>sonst. öffentl. Zuschüsse Bund, Land oder Kommune</t>
  </si>
  <si>
    <t>Zinssatz  K f W</t>
  </si>
  <si>
    <t>Ertrags-Summe</t>
  </si>
  <si>
    <t xml:space="preserve">jährliche Bilanz von </t>
  </si>
  <si>
    <t>Ertrag - Belastung</t>
  </si>
  <si>
    <t xml:space="preserve">gesamte bisherige </t>
  </si>
  <si>
    <t>Rücklage f. Reparaturen/Versicherungen ( 1 % )</t>
  </si>
  <si>
    <t xml:space="preserve">     *   ( hier bei der Investition bereits berücksichtigt ! )</t>
  </si>
  <si>
    <t>Haben/Soll-Zns</t>
  </si>
  <si>
    <t>1. Jahr</t>
  </si>
  <si>
    <t>2. Jahr</t>
  </si>
  <si>
    <t>3. Jahr</t>
  </si>
  <si>
    <t>4. Jahr</t>
  </si>
  <si>
    <t>5. Jahr</t>
  </si>
  <si>
    <t>6. Jahr</t>
  </si>
  <si>
    <t>7. Jahr</t>
  </si>
  <si>
    <t>8. Jahr</t>
  </si>
  <si>
    <t>9. Jahr</t>
  </si>
  <si>
    <t>10. Jahr</t>
  </si>
  <si>
    <t>11. Jahr</t>
  </si>
  <si>
    <t>12. Jahr</t>
  </si>
  <si>
    <t>13. Jahr</t>
  </si>
  <si>
    <t>14. Jahr</t>
  </si>
  <si>
    <t>15. Jahr</t>
  </si>
  <si>
    <t>16. Jahr</t>
  </si>
  <si>
    <t>17. Jahr</t>
  </si>
  <si>
    <t>18. Jahr</t>
  </si>
  <si>
    <t>19. Jahr</t>
  </si>
  <si>
    <t>20. Jahr</t>
  </si>
  <si>
    <t>21. Jahr</t>
  </si>
  <si>
    <t>22. Jahr</t>
  </si>
  <si>
    <t>23. Jahr</t>
  </si>
  <si>
    <t>24. Jahr</t>
  </si>
  <si>
    <t>25. Jahr</t>
  </si>
  <si>
    <t>Kredit</t>
  </si>
  <si>
    <t>Jahres- Ertrag :</t>
  </si>
  <si>
    <t>kWh</t>
  </si>
  <si>
    <t>Zählermiete (-gebühr)  *</t>
  </si>
  <si>
    <t xml:space="preserve">Investitionssumme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</si>
</sst>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\ &quot;€&quot;"/>
    <numFmt numFmtId="169" formatCode="#,##0.000000_ ;[Red]\-#,##0.000000\ "/>
    <numFmt numFmtId="170" formatCode="0.00000"/>
    <numFmt numFmtId="171" formatCode="0.000"/>
    <numFmt numFmtId="172" formatCode="#,##0.000\ &quot;€&quot;;[Red]\-#,##0.000\ &quot;€&quot;"/>
    <numFmt numFmtId="173" formatCode="#,##0.000000\ &quot;€&quot;;[Red]\-#,##0.000000\ &quot;€&quot;"/>
    <numFmt numFmtId="174" formatCode="#,##0.00_ ;[Red]\-#,##0.00\ "/>
    <numFmt numFmtId="175" formatCode="#,##0.000_ ;[Red]\-#,##0.000\ "/>
    <numFmt numFmtId="176" formatCode="#,##0.00\ &quot;€&quot;"/>
    <numFmt numFmtId="177" formatCode="[$-407]dddd\,\ d\.\ mmmm\ yyyy"/>
    <numFmt numFmtId="178" formatCode="0.0000"/>
    <numFmt numFmtId="179" formatCode="0.000000"/>
    <numFmt numFmtId="180" formatCode="0.0000000"/>
    <numFmt numFmtId="181" formatCode="0.0000%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14"/>
      <color indexed="48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8" fontId="1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1" fillId="5" borderId="1" xfId="0" applyNumberFormat="1" applyFont="1" applyFill="1" applyBorder="1" applyAlignment="1">
      <alignment/>
    </xf>
    <xf numFmtId="168" fontId="1" fillId="5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0" xfId="0" applyFont="1" applyFill="1" applyAlignment="1">
      <alignment/>
    </xf>
    <xf numFmtId="168" fontId="1" fillId="9" borderId="1" xfId="0" applyNumberFormat="1" applyFont="1" applyFill="1" applyBorder="1" applyAlignment="1">
      <alignment/>
    </xf>
    <xf numFmtId="168" fontId="1" fillId="10" borderId="1" xfId="0" applyNumberFormat="1" applyFont="1" applyFill="1" applyBorder="1" applyAlignment="1">
      <alignment/>
    </xf>
    <xf numFmtId="168" fontId="1" fillId="11" borderId="1" xfId="0" applyNumberFormat="1" applyFont="1" applyFill="1" applyBorder="1" applyAlignment="1">
      <alignment/>
    </xf>
    <xf numFmtId="168" fontId="1" fillId="12" borderId="0" xfId="0" applyNumberFormat="1" applyFont="1" applyFill="1" applyAlignment="1">
      <alignment/>
    </xf>
    <xf numFmtId="0" fontId="1" fillId="13" borderId="1" xfId="0" applyFont="1" applyFill="1" applyBorder="1" applyAlignment="1">
      <alignment/>
    </xf>
    <xf numFmtId="8" fontId="2" fillId="12" borderId="1" xfId="0" applyNumberFormat="1" applyFont="1" applyFill="1" applyBorder="1" applyAlignment="1">
      <alignment/>
    </xf>
    <xf numFmtId="4" fontId="1" fillId="12" borderId="1" xfId="0" applyNumberFormat="1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8" fontId="1" fillId="13" borderId="0" xfId="0" applyNumberFormat="1" applyFont="1" applyFill="1" applyAlignment="1">
      <alignment/>
    </xf>
    <xf numFmtId="8" fontId="1" fillId="7" borderId="0" xfId="0" applyNumberFormat="1" applyFont="1" applyFill="1" applyAlignment="1">
      <alignment/>
    </xf>
    <xf numFmtId="0" fontId="1" fillId="7" borderId="0" xfId="0" applyFont="1" applyFill="1" applyAlignment="1">
      <alignment horizontal="right"/>
    </xf>
    <xf numFmtId="10" fontId="1" fillId="7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/>
    </xf>
    <xf numFmtId="1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8" fontId="1" fillId="0" borderId="0" xfId="0" applyNumberFormat="1" applyFont="1" applyAlignment="1">
      <alignment/>
    </xf>
    <xf numFmtId="178" fontId="1" fillId="11" borderId="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0" zoomScaleNormal="90" workbookViewId="0" topLeftCell="A1">
      <selection activeCell="J11" sqref="J11"/>
    </sheetView>
  </sheetViews>
  <sheetFormatPr defaultColWidth="11.421875" defaultRowHeight="12.75"/>
  <cols>
    <col min="1" max="1" width="10.7109375" style="1" customWidth="1"/>
    <col min="2" max="2" width="7.140625" style="1" customWidth="1"/>
    <col min="3" max="3" width="8.57421875" style="1" customWidth="1"/>
    <col min="4" max="4" width="10.7109375" style="1" customWidth="1"/>
    <col min="5" max="5" width="8.57421875" style="1" bestFit="1" customWidth="1"/>
    <col min="6" max="6" width="9.421875" style="1" customWidth="1"/>
    <col min="7" max="7" width="11.00390625" style="1" bestFit="1" customWidth="1"/>
    <col min="8" max="8" width="9.8515625" style="1" bestFit="1" customWidth="1"/>
    <col min="9" max="9" width="10.421875" style="1" bestFit="1" customWidth="1"/>
    <col min="10" max="10" width="8.28125" style="1" bestFit="1" customWidth="1"/>
    <col min="11" max="11" width="14.00390625" style="1" bestFit="1" customWidth="1"/>
    <col min="12" max="12" width="14.421875" style="1" bestFit="1" customWidth="1"/>
    <col min="13" max="13" width="10.57421875" style="1" customWidth="1"/>
    <col min="14" max="14" width="10.28125" style="1" customWidth="1"/>
    <col min="15" max="15" width="2.8515625" style="1" customWidth="1"/>
    <col min="16" max="16" width="1.7109375" style="1" customWidth="1"/>
    <col min="17" max="16384" width="11.421875" style="1" customWidth="1"/>
  </cols>
  <sheetData>
    <row r="1" ht="18">
      <c r="A1" s="17" t="s">
        <v>24</v>
      </c>
    </row>
    <row r="2" ht="11.25">
      <c r="A2" s="3" t="s">
        <v>25</v>
      </c>
    </row>
    <row r="3" spans="1:13" ht="11.25">
      <c r="A3" s="4" t="s">
        <v>8</v>
      </c>
      <c r="E3" s="29">
        <v>82</v>
      </c>
      <c r="F3" s="4" t="s">
        <v>9</v>
      </c>
      <c r="H3" s="4" t="s">
        <v>66</v>
      </c>
      <c r="M3" s="32">
        <v>652800</v>
      </c>
    </row>
    <row r="4" spans="1:13" ht="11.25">
      <c r="A4" s="4" t="s">
        <v>19</v>
      </c>
      <c r="E4" s="21">
        <v>900</v>
      </c>
      <c r="F4" s="4" t="s">
        <v>12</v>
      </c>
      <c r="H4" s="4" t="s">
        <v>10</v>
      </c>
      <c r="M4" s="25">
        <v>0</v>
      </c>
    </row>
    <row r="5" spans="1:13" ht="11.25">
      <c r="A5" s="4" t="s">
        <v>13</v>
      </c>
      <c r="E5" s="22">
        <v>7.9</v>
      </c>
      <c r="F5" s="4" t="s">
        <v>14</v>
      </c>
      <c r="H5" s="4" t="s">
        <v>28</v>
      </c>
      <c r="M5" s="27">
        <v>60000</v>
      </c>
    </row>
    <row r="6" spans="1:13" ht="11.25">
      <c r="A6" s="4" t="s">
        <v>16</v>
      </c>
      <c r="E6" s="23">
        <v>2007</v>
      </c>
      <c r="F6" s="4"/>
      <c r="H6" s="4" t="s">
        <v>15</v>
      </c>
      <c r="M6" s="26">
        <v>0</v>
      </c>
    </row>
    <row r="7" spans="1:10" ht="11.25">
      <c r="A7" s="4" t="s">
        <v>18</v>
      </c>
      <c r="E7" s="47">
        <v>0.4769</v>
      </c>
      <c r="F7" s="1" t="s">
        <v>11</v>
      </c>
      <c r="H7" s="13"/>
      <c r="J7" s="34"/>
    </row>
    <row r="8" spans="1:10" ht="11.25">
      <c r="A8" s="4" t="s">
        <v>26</v>
      </c>
      <c r="E8" s="29">
        <v>0.15</v>
      </c>
      <c r="F8" s="1" t="s">
        <v>11</v>
      </c>
      <c r="H8" s="13"/>
      <c r="J8" s="34"/>
    </row>
    <row r="9" spans="1:13" ht="11.25">
      <c r="A9" s="4" t="s">
        <v>34</v>
      </c>
      <c r="E9" s="43">
        <f>M3/100</f>
        <v>6528</v>
      </c>
      <c r="F9" s="1" t="s">
        <v>11</v>
      </c>
      <c r="H9" s="4" t="s">
        <v>29</v>
      </c>
      <c r="J9" s="31">
        <v>0</v>
      </c>
      <c r="K9" s="4" t="s">
        <v>21</v>
      </c>
      <c r="M9" s="28"/>
    </row>
    <row r="10" spans="1:13" ht="11.25">
      <c r="A10" s="4" t="s">
        <v>65</v>
      </c>
      <c r="E10" s="11">
        <v>30</v>
      </c>
      <c r="F10" s="1" t="s">
        <v>11</v>
      </c>
      <c r="H10" s="4" t="s">
        <v>17</v>
      </c>
      <c r="J10" s="18">
        <v>3.8</v>
      </c>
      <c r="K10" s="4" t="s">
        <v>20</v>
      </c>
      <c r="M10" s="19">
        <f>M3-(M4+M5+M6+M9)</f>
        <v>592800</v>
      </c>
    </row>
    <row r="11" spans="1:11" ht="11.25">
      <c r="A11" s="4" t="s">
        <v>35</v>
      </c>
      <c r="C11" s="14"/>
      <c r="H11" s="1" t="s">
        <v>22</v>
      </c>
      <c r="J11" s="33">
        <v>3.2</v>
      </c>
      <c r="K11" s="4" t="s">
        <v>23</v>
      </c>
    </row>
    <row r="12" spans="3:11" ht="11.25">
      <c r="C12" s="14"/>
      <c r="D12" s="12" t="s">
        <v>63</v>
      </c>
      <c r="E12" s="48">
        <f>E$3*E$4*(1-E$5/100)</f>
        <v>67969.8</v>
      </c>
      <c r="F12" s="4" t="s">
        <v>64</v>
      </c>
      <c r="K12" s="4"/>
    </row>
    <row r="13" spans="1:14" ht="11.25">
      <c r="A13" s="5" t="s">
        <v>0</v>
      </c>
      <c r="C13" s="14"/>
      <c r="F13" s="15"/>
      <c r="G13" s="15"/>
      <c r="M13" s="40">
        <v>0</v>
      </c>
      <c r="N13" s="41">
        <v>0.005</v>
      </c>
    </row>
    <row r="14" spans="2:13" ht="11.25">
      <c r="B14" s="5"/>
      <c r="C14" s="10"/>
      <c r="E14" s="6"/>
      <c r="F14" s="9" t="s">
        <v>62</v>
      </c>
      <c r="G14" s="7"/>
      <c r="K14" s="41" t="s">
        <v>31</v>
      </c>
      <c r="L14" s="41" t="s">
        <v>33</v>
      </c>
      <c r="M14" s="39" t="s">
        <v>36</v>
      </c>
    </row>
    <row r="15" spans="5:12" ht="11.25">
      <c r="E15" s="7" t="s">
        <v>1</v>
      </c>
      <c r="F15" s="7" t="s">
        <v>2</v>
      </c>
      <c r="G15" s="7" t="s">
        <v>3</v>
      </c>
      <c r="H15" s="20" t="s">
        <v>4</v>
      </c>
      <c r="I15" s="24" t="s">
        <v>5</v>
      </c>
      <c r="J15" s="24" t="s">
        <v>6</v>
      </c>
      <c r="K15" s="41" t="s">
        <v>32</v>
      </c>
      <c r="L15" s="10" t="s">
        <v>30</v>
      </c>
    </row>
    <row r="16" spans="5:7" ht="3.75" customHeight="1">
      <c r="E16" s="7"/>
      <c r="F16" s="7"/>
      <c r="G16" s="7"/>
    </row>
    <row r="17" spans="1:7" ht="11.25">
      <c r="A17" s="42" t="s">
        <v>7</v>
      </c>
      <c r="E17" s="7"/>
      <c r="F17" s="7"/>
      <c r="G17" s="30">
        <f>M10</f>
        <v>592800</v>
      </c>
    </row>
    <row r="18" spans="1:15" ht="11.25">
      <c r="A18" s="41" t="s">
        <v>37</v>
      </c>
      <c r="B18" s="2"/>
      <c r="C18" s="2"/>
      <c r="D18" s="2"/>
      <c r="E18" s="8">
        <f>G17*J$10/100</f>
        <v>22526.4</v>
      </c>
      <c r="F18" s="16">
        <f>G$17*$J$11/100</f>
        <v>18969.6</v>
      </c>
      <c r="G18" s="8">
        <f aca="true" t="shared" si="0" ref="G18:G37">G17-F18</f>
        <v>573830.4</v>
      </c>
      <c r="H18" s="2">
        <f>(E$3*E$4*E$7)*(1-$E$5/100)</f>
        <v>32414.79762</v>
      </c>
      <c r="I18" s="2">
        <f aca="true" t="shared" si="1" ref="I18:I42">$E$10</f>
        <v>30</v>
      </c>
      <c r="J18" s="2">
        <f aca="true" t="shared" si="2" ref="J18:J37">$E$9</f>
        <v>6528</v>
      </c>
      <c r="K18" s="2">
        <f aca="true" t="shared" si="3" ref="K18:K37">H18-(B18+C18+E18+F18)-(I18+J18)</f>
        <v>-15639.202379999999</v>
      </c>
      <c r="L18" s="2">
        <f>K18</f>
        <v>-15639.202379999999</v>
      </c>
      <c r="M18" s="38">
        <f>M$13*L18</f>
        <v>0</v>
      </c>
      <c r="N18" s="44">
        <v>1</v>
      </c>
      <c r="O18" s="41">
        <v>1</v>
      </c>
    </row>
    <row r="19" spans="1:15" ht="11.25">
      <c r="A19" s="41" t="s">
        <v>38</v>
      </c>
      <c r="B19" s="2"/>
      <c r="C19" s="2"/>
      <c r="D19" s="2"/>
      <c r="E19" s="8">
        <f aca="true" t="shared" si="4" ref="E19:E42">G18*J$10/100</f>
        <v>21805.5552</v>
      </c>
      <c r="F19" s="8">
        <f aca="true" t="shared" si="5" ref="F19:F42">MIN($F$18+$E$18-E19,G18)</f>
        <v>19690.4448</v>
      </c>
      <c r="G19" s="8">
        <f t="shared" si="0"/>
        <v>554139.9552</v>
      </c>
      <c r="H19" s="2">
        <f>H$18*N19</f>
        <v>32252.7236319</v>
      </c>
      <c r="I19" s="2">
        <f t="shared" si="1"/>
        <v>30</v>
      </c>
      <c r="J19" s="2">
        <f t="shared" si="2"/>
        <v>6528</v>
      </c>
      <c r="K19" s="2">
        <f t="shared" si="3"/>
        <v>-15801.2763681</v>
      </c>
      <c r="L19" s="2">
        <f>L18+K19+M18</f>
        <v>-31440.4787481</v>
      </c>
      <c r="M19" s="38">
        <f>M$13*L19</f>
        <v>0</v>
      </c>
      <c r="N19" s="44">
        <f>N18*(1-N$13)</f>
        <v>0.995</v>
      </c>
      <c r="O19" s="41">
        <v>2</v>
      </c>
    </row>
    <row r="20" spans="1:15" ht="11.25">
      <c r="A20" s="41" t="s">
        <v>39</v>
      </c>
      <c r="B20" s="2"/>
      <c r="C20" s="2"/>
      <c r="D20" s="2"/>
      <c r="E20" s="8">
        <f t="shared" si="4"/>
        <v>21057.318297599995</v>
      </c>
      <c r="F20" s="8">
        <f t="shared" si="5"/>
        <v>20438.681702400005</v>
      </c>
      <c r="G20" s="8">
        <f t="shared" si="0"/>
        <v>533701.2734976</v>
      </c>
      <c r="H20" s="2">
        <f aca="true" t="shared" si="6" ref="H20:H37">H$18*N20</f>
        <v>32091.460013740503</v>
      </c>
      <c r="I20" s="2">
        <f t="shared" si="1"/>
        <v>30</v>
      </c>
      <c r="J20" s="2">
        <f t="shared" si="2"/>
        <v>6528</v>
      </c>
      <c r="K20" s="2">
        <f t="shared" si="3"/>
        <v>-15962.539986259497</v>
      </c>
      <c r="L20" s="2">
        <f>L19+K20+M19</f>
        <v>-47403.018734359495</v>
      </c>
      <c r="M20" s="38">
        <f>M$13*L20</f>
        <v>0</v>
      </c>
      <c r="N20" s="44">
        <f>N19*(1-N$13)</f>
        <v>0.990025</v>
      </c>
      <c r="O20" s="41">
        <v>3</v>
      </c>
    </row>
    <row r="21" spans="1:15" ht="11.25">
      <c r="A21" s="41" t="s">
        <v>40</v>
      </c>
      <c r="B21" s="2"/>
      <c r="C21" s="2"/>
      <c r="D21" s="2"/>
      <c r="E21" s="8">
        <f t="shared" si="4"/>
        <v>20280.6483929088</v>
      </c>
      <c r="F21" s="8">
        <f t="shared" si="5"/>
        <v>21215.3516070912</v>
      </c>
      <c r="G21" s="8">
        <f t="shared" si="0"/>
        <v>512485.9218905088</v>
      </c>
      <c r="H21" s="2">
        <f t="shared" si="6"/>
        <v>31931.002713671798</v>
      </c>
      <c r="I21" s="2">
        <f t="shared" si="1"/>
        <v>30</v>
      </c>
      <c r="J21" s="2">
        <f t="shared" si="2"/>
        <v>6528</v>
      </c>
      <c r="K21" s="2">
        <f t="shared" si="3"/>
        <v>-16122.997286328202</v>
      </c>
      <c r="L21" s="2">
        <f>L20+K21+M20</f>
        <v>-63526.0160206877</v>
      </c>
      <c r="M21" s="38">
        <f>M$13*L21</f>
        <v>0</v>
      </c>
      <c r="N21" s="44">
        <f aca="true" t="shared" si="7" ref="N21:N42">N20*(1-N$13)</f>
        <v>0.985074875</v>
      </c>
      <c r="O21" s="41">
        <v>4</v>
      </c>
    </row>
    <row r="22" spans="1:15" ht="11.25">
      <c r="A22" s="41" t="s">
        <v>41</v>
      </c>
      <c r="B22" s="2"/>
      <c r="C22" s="2"/>
      <c r="D22" s="2"/>
      <c r="E22" s="8">
        <f t="shared" si="4"/>
        <v>19474.465031839332</v>
      </c>
      <c r="F22" s="8">
        <f t="shared" si="5"/>
        <v>22021.534968160668</v>
      </c>
      <c r="G22" s="8">
        <f t="shared" si="0"/>
        <v>490464.3869223481</v>
      </c>
      <c r="H22" s="2">
        <f t="shared" si="6"/>
        <v>31771.34770010344</v>
      </c>
      <c r="I22" s="2">
        <f t="shared" si="1"/>
        <v>30</v>
      </c>
      <c r="J22" s="2">
        <f t="shared" si="2"/>
        <v>6528</v>
      </c>
      <c r="K22" s="2">
        <f t="shared" si="3"/>
        <v>-16282.65229989656</v>
      </c>
      <c r="L22" s="2">
        <f>L21+K22+M21</f>
        <v>-79808.66832058426</v>
      </c>
      <c r="M22" s="38">
        <f aca="true" t="shared" si="8" ref="M22:M42">M$13*L22</f>
        <v>0</v>
      </c>
      <c r="N22" s="44">
        <f t="shared" si="7"/>
        <v>0.9801495006250001</v>
      </c>
      <c r="O22" s="41">
        <v>5</v>
      </c>
    </row>
    <row r="23" spans="1:15" ht="11.25">
      <c r="A23" s="41" t="s">
        <v>42</v>
      </c>
      <c r="B23" s="2"/>
      <c r="C23" s="2"/>
      <c r="D23" s="2"/>
      <c r="E23" s="8">
        <f t="shared" si="4"/>
        <v>18637.646703049228</v>
      </c>
      <c r="F23" s="8">
        <f t="shared" si="5"/>
        <v>22858.353296950772</v>
      </c>
      <c r="G23" s="8">
        <f t="shared" si="0"/>
        <v>467606.03362539737</v>
      </c>
      <c r="H23" s="2">
        <f t="shared" si="6"/>
        <v>31612.490961602925</v>
      </c>
      <c r="I23" s="2">
        <f t="shared" si="1"/>
        <v>30</v>
      </c>
      <c r="J23" s="2">
        <f t="shared" si="2"/>
        <v>6528</v>
      </c>
      <c r="K23" s="2">
        <f t="shared" si="3"/>
        <v>-16441.509038397075</v>
      </c>
      <c r="L23" s="2">
        <f aca="true" t="shared" si="9" ref="L23:L42">L22+K23+M22</f>
        <v>-96250.17735898134</v>
      </c>
      <c r="M23" s="38">
        <f t="shared" si="8"/>
        <v>0</v>
      </c>
      <c r="N23" s="44">
        <f t="shared" si="7"/>
        <v>0.9752487531218751</v>
      </c>
      <c r="O23" s="41">
        <v>6</v>
      </c>
    </row>
    <row r="24" spans="1:15" ht="11.25">
      <c r="A24" s="41" t="s">
        <v>43</v>
      </c>
      <c r="B24" s="2"/>
      <c r="C24" s="2"/>
      <c r="D24" s="2"/>
      <c r="E24" s="8">
        <f t="shared" si="4"/>
        <v>17769.029277765098</v>
      </c>
      <c r="F24" s="8">
        <f t="shared" si="5"/>
        <v>23726.970722234902</v>
      </c>
      <c r="G24" s="8">
        <f t="shared" si="0"/>
        <v>443879.06290316244</v>
      </c>
      <c r="H24" s="2">
        <f t="shared" si="6"/>
        <v>31454.428506794913</v>
      </c>
      <c r="I24" s="2">
        <f t="shared" si="1"/>
        <v>30</v>
      </c>
      <c r="J24" s="2">
        <f t="shared" si="2"/>
        <v>6528</v>
      </c>
      <c r="K24" s="2">
        <f t="shared" si="3"/>
        <v>-16599.571493205087</v>
      </c>
      <c r="L24" s="2">
        <f t="shared" si="9"/>
        <v>-112849.74885218643</v>
      </c>
      <c r="M24" s="38">
        <f t="shared" si="8"/>
        <v>0</v>
      </c>
      <c r="N24" s="44">
        <f t="shared" si="7"/>
        <v>0.9703725093562657</v>
      </c>
      <c r="O24" s="41">
        <v>7</v>
      </c>
    </row>
    <row r="25" spans="1:15" ht="11.25">
      <c r="A25" s="41" t="s">
        <v>44</v>
      </c>
      <c r="B25" s="2"/>
      <c r="C25" s="2"/>
      <c r="D25" s="2"/>
      <c r="E25" s="8">
        <f t="shared" si="4"/>
        <v>16867.40439032017</v>
      </c>
      <c r="F25" s="8">
        <f t="shared" si="5"/>
        <v>24628.59560967983</v>
      </c>
      <c r="G25" s="8">
        <f t="shared" si="0"/>
        <v>419250.4672934826</v>
      </c>
      <c r="H25" s="2">
        <f t="shared" si="6"/>
        <v>31297.156364260936</v>
      </c>
      <c r="I25" s="2">
        <f t="shared" si="1"/>
        <v>30</v>
      </c>
      <c r="J25" s="2">
        <f t="shared" si="2"/>
        <v>6528</v>
      </c>
      <c r="K25" s="2">
        <f t="shared" si="3"/>
        <v>-16756.843635739064</v>
      </c>
      <c r="L25" s="2">
        <f t="shared" si="9"/>
        <v>-129606.59248792549</v>
      </c>
      <c r="M25" s="38">
        <f t="shared" si="8"/>
        <v>0</v>
      </c>
      <c r="N25" s="44">
        <f t="shared" si="7"/>
        <v>0.9655206468094844</v>
      </c>
      <c r="O25" s="41">
        <v>8</v>
      </c>
    </row>
    <row r="26" spans="1:15" ht="11.25">
      <c r="A26" s="41" t="s">
        <v>45</v>
      </c>
      <c r="B26" s="2"/>
      <c r="C26" s="2"/>
      <c r="D26" s="2"/>
      <c r="E26" s="8">
        <f t="shared" si="4"/>
        <v>15931.51775715234</v>
      </c>
      <c r="F26" s="8">
        <f t="shared" si="5"/>
        <v>25564.482242847662</v>
      </c>
      <c r="G26" s="8">
        <f t="shared" si="0"/>
        <v>393685.98505063495</v>
      </c>
      <c r="H26" s="2">
        <f t="shared" si="6"/>
        <v>31140.67058243963</v>
      </c>
      <c r="I26" s="2">
        <f t="shared" si="1"/>
        <v>30</v>
      </c>
      <c r="J26" s="2">
        <f t="shared" si="2"/>
        <v>6528</v>
      </c>
      <c r="K26" s="2">
        <f t="shared" si="3"/>
        <v>-16913.32941756037</v>
      </c>
      <c r="L26" s="2">
        <f t="shared" si="9"/>
        <v>-146519.92190548585</v>
      </c>
      <c r="M26" s="38">
        <f t="shared" si="8"/>
        <v>0</v>
      </c>
      <c r="N26" s="44">
        <f t="shared" si="7"/>
        <v>0.960693043575437</v>
      </c>
      <c r="O26" s="41">
        <v>9</v>
      </c>
    </row>
    <row r="27" spans="1:15" ht="11.25">
      <c r="A27" s="41" t="s">
        <v>46</v>
      </c>
      <c r="B27" s="2"/>
      <c r="C27" s="2"/>
      <c r="D27" s="2"/>
      <c r="E27" s="8">
        <f t="shared" si="4"/>
        <v>14960.067431924126</v>
      </c>
      <c r="F27" s="8">
        <f t="shared" si="5"/>
        <v>26535.932568075874</v>
      </c>
      <c r="G27" s="8">
        <f t="shared" si="0"/>
        <v>367150.05248255905</v>
      </c>
      <c r="H27" s="2">
        <f t="shared" si="6"/>
        <v>30984.967229527432</v>
      </c>
      <c r="I27" s="2">
        <f t="shared" si="1"/>
        <v>30</v>
      </c>
      <c r="J27" s="2">
        <f t="shared" si="2"/>
        <v>6528</v>
      </c>
      <c r="K27" s="2">
        <f t="shared" si="3"/>
        <v>-17069.032770472568</v>
      </c>
      <c r="L27" s="2">
        <f t="shared" si="9"/>
        <v>-163588.95467595843</v>
      </c>
      <c r="M27" s="38">
        <f t="shared" si="8"/>
        <v>0</v>
      </c>
      <c r="N27" s="44">
        <f t="shared" si="7"/>
        <v>0.9558895783575597</v>
      </c>
      <c r="O27" s="45">
        <v>10</v>
      </c>
    </row>
    <row r="28" spans="1:15" ht="11.25">
      <c r="A28" s="41" t="s">
        <v>47</v>
      </c>
      <c r="B28" s="2"/>
      <c r="C28" s="2"/>
      <c r="D28" s="2"/>
      <c r="E28" s="8">
        <f t="shared" si="4"/>
        <v>13951.701994337243</v>
      </c>
      <c r="F28" s="8">
        <f t="shared" si="5"/>
        <v>27544.298005662757</v>
      </c>
      <c r="G28" s="8">
        <f t="shared" si="0"/>
        <v>339605.7544768963</v>
      </c>
      <c r="H28" s="2">
        <f t="shared" si="6"/>
        <v>30830.042393379794</v>
      </c>
      <c r="I28" s="2">
        <f t="shared" si="1"/>
        <v>30</v>
      </c>
      <c r="J28" s="2">
        <f t="shared" si="2"/>
        <v>6528</v>
      </c>
      <c r="K28" s="2">
        <f t="shared" si="3"/>
        <v>-17223.957606620206</v>
      </c>
      <c r="L28" s="2">
        <f t="shared" si="9"/>
        <v>-180812.91228257865</v>
      </c>
      <c r="M28" s="38">
        <f t="shared" si="8"/>
        <v>0</v>
      </c>
      <c r="N28" s="44">
        <f t="shared" si="7"/>
        <v>0.9511101304657719</v>
      </c>
      <c r="O28" s="41">
        <v>11</v>
      </c>
    </row>
    <row r="29" spans="1:15" ht="11.25">
      <c r="A29" s="41" t="s">
        <v>48</v>
      </c>
      <c r="B29" s="2"/>
      <c r="C29" s="2"/>
      <c r="D29" s="2"/>
      <c r="E29" s="8">
        <f t="shared" si="4"/>
        <v>12905.01867012206</v>
      </c>
      <c r="F29" s="8">
        <f t="shared" si="5"/>
        <v>28590.98132987794</v>
      </c>
      <c r="G29" s="8">
        <f t="shared" si="0"/>
        <v>311014.7731470184</v>
      </c>
      <c r="H29" s="2">
        <f t="shared" si="6"/>
        <v>30675.89218141289</v>
      </c>
      <c r="I29" s="2">
        <f t="shared" si="1"/>
        <v>30</v>
      </c>
      <c r="J29" s="2">
        <f t="shared" si="2"/>
        <v>6528</v>
      </c>
      <c r="K29" s="2">
        <f t="shared" si="3"/>
        <v>-17378.10781858711</v>
      </c>
      <c r="L29" s="2">
        <f t="shared" si="9"/>
        <v>-198191.02010116575</v>
      </c>
      <c r="M29" s="38">
        <f t="shared" si="8"/>
        <v>0</v>
      </c>
      <c r="N29" s="44">
        <f t="shared" si="7"/>
        <v>0.946354579813443</v>
      </c>
      <c r="O29" s="41">
        <v>12</v>
      </c>
    </row>
    <row r="30" spans="1:15" ht="11.25">
      <c r="A30" s="41" t="s">
        <v>49</v>
      </c>
      <c r="B30" s="2"/>
      <c r="C30" s="2"/>
      <c r="D30" s="2"/>
      <c r="E30" s="8">
        <f t="shared" si="4"/>
        <v>11818.561379586698</v>
      </c>
      <c r="F30" s="8">
        <f t="shared" si="5"/>
        <v>29677.438620413304</v>
      </c>
      <c r="G30" s="8">
        <f t="shared" si="0"/>
        <v>281337.3345266051</v>
      </c>
      <c r="H30" s="2">
        <f t="shared" si="6"/>
        <v>30522.512720505827</v>
      </c>
      <c r="I30" s="2">
        <f t="shared" si="1"/>
        <v>30</v>
      </c>
      <c r="J30" s="2">
        <f t="shared" si="2"/>
        <v>6528</v>
      </c>
      <c r="K30" s="2">
        <f t="shared" si="3"/>
        <v>-17531.487279494173</v>
      </c>
      <c r="L30" s="2">
        <f t="shared" si="9"/>
        <v>-215722.50738065992</v>
      </c>
      <c r="M30" s="38">
        <f t="shared" si="8"/>
        <v>0</v>
      </c>
      <c r="N30" s="44">
        <f t="shared" si="7"/>
        <v>0.9416228069143757</v>
      </c>
      <c r="O30" s="41">
        <v>13</v>
      </c>
    </row>
    <row r="31" spans="1:15" ht="11.25">
      <c r="A31" s="41" t="s">
        <v>50</v>
      </c>
      <c r="B31" s="2"/>
      <c r="C31" s="2"/>
      <c r="D31" s="2"/>
      <c r="E31" s="8">
        <f t="shared" si="4"/>
        <v>10690.818712010994</v>
      </c>
      <c r="F31" s="8">
        <f t="shared" si="5"/>
        <v>30805.181287989006</v>
      </c>
      <c r="G31" s="8">
        <f t="shared" si="0"/>
        <v>250532.15323861607</v>
      </c>
      <c r="H31" s="2">
        <f t="shared" si="6"/>
        <v>30369.9001569033</v>
      </c>
      <c r="I31" s="2">
        <f t="shared" si="1"/>
        <v>30</v>
      </c>
      <c r="J31" s="2">
        <f t="shared" si="2"/>
        <v>6528</v>
      </c>
      <c r="K31" s="2">
        <f t="shared" si="3"/>
        <v>-17684.0998430967</v>
      </c>
      <c r="L31" s="2">
        <f t="shared" si="9"/>
        <v>-233406.6072237566</v>
      </c>
      <c r="M31" s="38">
        <f t="shared" si="8"/>
        <v>0</v>
      </c>
      <c r="N31" s="44">
        <f t="shared" si="7"/>
        <v>0.9369146928798039</v>
      </c>
      <c r="O31" s="41">
        <v>14</v>
      </c>
    </row>
    <row r="32" spans="1:15" ht="11.25">
      <c r="A32" s="41" t="s">
        <v>51</v>
      </c>
      <c r="B32" s="2"/>
      <c r="C32" s="2"/>
      <c r="D32" s="2"/>
      <c r="E32" s="8">
        <f t="shared" si="4"/>
        <v>9520.22182306741</v>
      </c>
      <c r="F32" s="8">
        <f t="shared" si="5"/>
        <v>31975.77817693259</v>
      </c>
      <c r="G32" s="8">
        <f t="shared" si="0"/>
        <v>218556.37506168347</v>
      </c>
      <c r="H32" s="2">
        <f t="shared" si="6"/>
        <v>30218.050656118783</v>
      </c>
      <c r="I32" s="2">
        <f t="shared" si="1"/>
        <v>30</v>
      </c>
      <c r="J32" s="2">
        <f t="shared" si="2"/>
        <v>6528</v>
      </c>
      <c r="K32" s="2">
        <f t="shared" si="3"/>
        <v>-17835.949343881217</v>
      </c>
      <c r="L32" s="2">
        <f t="shared" si="9"/>
        <v>-251242.55656763783</v>
      </c>
      <c r="M32" s="38">
        <f t="shared" si="8"/>
        <v>0</v>
      </c>
      <c r="N32" s="44">
        <f t="shared" si="7"/>
        <v>0.9322301194154049</v>
      </c>
      <c r="O32" s="41">
        <v>15</v>
      </c>
    </row>
    <row r="33" spans="1:15" ht="11.25">
      <c r="A33" s="41" t="s">
        <v>52</v>
      </c>
      <c r="B33" s="2"/>
      <c r="C33" s="2"/>
      <c r="D33" s="2"/>
      <c r="E33" s="8">
        <f t="shared" si="4"/>
        <v>8305.14225234397</v>
      </c>
      <c r="F33" s="8">
        <f t="shared" si="5"/>
        <v>33190.85774765603</v>
      </c>
      <c r="G33" s="8">
        <f t="shared" si="0"/>
        <v>185365.51731402744</v>
      </c>
      <c r="H33" s="2">
        <f t="shared" si="6"/>
        <v>30066.960402838187</v>
      </c>
      <c r="I33" s="2">
        <f t="shared" si="1"/>
        <v>30</v>
      </c>
      <c r="J33" s="2">
        <f t="shared" si="2"/>
        <v>6528</v>
      </c>
      <c r="K33" s="2">
        <f t="shared" si="3"/>
        <v>-17987.039597161813</v>
      </c>
      <c r="L33" s="2">
        <f t="shared" si="9"/>
        <v>-269229.59616479964</v>
      </c>
      <c r="M33" s="38">
        <f t="shared" si="8"/>
        <v>0</v>
      </c>
      <c r="N33" s="44">
        <f t="shared" si="7"/>
        <v>0.9275689688183278</v>
      </c>
      <c r="O33" s="41">
        <v>16</v>
      </c>
    </row>
    <row r="34" spans="1:15" ht="11.25">
      <c r="A34" s="41" t="s">
        <v>53</v>
      </c>
      <c r="B34" s="2"/>
      <c r="C34" s="2"/>
      <c r="D34" s="2"/>
      <c r="E34" s="8">
        <f t="shared" si="4"/>
        <v>7043.889657933043</v>
      </c>
      <c r="F34" s="8">
        <f t="shared" si="5"/>
        <v>34452.11034206695</v>
      </c>
      <c r="G34" s="8">
        <f t="shared" si="0"/>
        <v>150913.4069719605</v>
      </c>
      <c r="H34" s="2">
        <f t="shared" si="6"/>
        <v>29916.625600823998</v>
      </c>
      <c r="I34" s="2">
        <f t="shared" si="1"/>
        <v>30</v>
      </c>
      <c r="J34" s="2">
        <f t="shared" si="2"/>
        <v>6528</v>
      </c>
      <c r="K34" s="2">
        <f t="shared" si="3"/>
        <v>-18137.374399176002</v>
      </c>
      <c r="L34" s="2">
        <f t="shared" si="9"/>
        <v>-287366.9705639756</v>
      </c>
      <c r="M34" s="38">
        <f t="shared" si="8"/>
        <v>0</v>
      </c>
      <c r="N34" s="44">
        <f t="shared" si="7"/>
        <v>0.9229311239742362</v>
      </c>
      <c r="O34" s="41">
        <v>17</v>
      </c>
    </row>
    <row r="35" spans="1:15" ht="11.25">
      <c r="A35" s="41" t="s">
        <v>54</v>
      </c>
      <c r="B35" s="2"/>
      <c r="C35" s="2"/>
      <c r="D35" s="2"/>
      <c r="E35" s="8">
        <f t="shared" si="4"/>
        <v>5734.709464934498</v>
      </c>
      <c r="F35" s="8">
        <f t="shared" si="5"/>
        <v>35761.290535065506</v>
      </c>
      <c r="G35" s="8">
        <f t="shared" si="0"/>
        <v>115152.116436895</v>
      </c>
      <c r="H35" s="2">
        <f t="shared" si="6"/>
        <v>29767.042472819878</v>
      </c>
      <c r="I35" s="2">
        <f t="shared" si="1"/>
        <v>30</v>
      </c>
      <c r="J35" s="2">
        <f t="shared" si="2"/>
        <v>6528</v>
      </c>
      <c r="K35" s="2">
        <f t="shared" si="3"/>
        <v>-18286.957527180122</v>
      </c>
      <c r="L35" s="2">
        <f t="shared" si="9"/>
        <v>-305653.9280911558</v>
      </c>
      <c r="M35" s="38">
        <f t="shared" si="8"/>
        <v>0</v>
      </c>
      <c r="N35" s="44">
        <f t="shared" si="7"/>
        <v>0.918316468354365</v>
      </c>
      <c r="O35" s="41">
        <v>18</v>
      </c>
    </row>
    <row r="36" spans="1:15" ht="11.25">
      <c r="A36" s="41" t="s">
        <v>55</v>
      </c>
      <c r="B36" s="2"/>
      <c r="C36" s="2"/>
      <c r="D36" s="2"/>
      <c r="E36" s="8">
        <f t="shared" si="4"/>
        <v>4375.78042460201</v>
      </c>
      <c r="F36" s="8">
        <f t="shared" si="5"/>
        <v>37120.21957539799</v>
      </c>
      <c r="G36" s="8">
        <f t="shared" si="0"/>
        <v>78031.896861497</v>
      </c>
      <c r="H36" s="2">
        <f t="shared" si="6"/>
        <v>29618.207260455776</v>
      </c>
      <c r="I36" s="2">
        <f t="shared" si="1"/>
        <v>30</v>
      </c>
      <c r="J36" s="2">
        <f t="shared" si="2"/>
        <v>6528</v>
      </c>
      <c r="K36" s="2">
        <f t="shared" si="3"/>
        <v>-18435.792739544224</v>
      </c>
      <c r="L36" s="2">
        <f t="shared" si="9"/>
        <v>-324089.7208307</v>
      </c>
      <c r="M36" s="38">
        <f t="shared" si="8"/>
        <v>0</v>
      </c>
      <c r="N36" s="44">
        <f t="shared" si="7"/>
        <v>0.9137248860125932</v>
      </c>
      <c r="O36" s="41">
        <v>19</v>
      </c>
    </row>
    <row r="37" spans="1:15" ht="11.25">
      <c r="A37" s="41" t="s">
        <v>56</v>
      </c>
      <c r="B37" s="2"/>
      <c r="C37" s="2"/>
      <c r="D37" s="2"/>
      <c r="E37" s="8">
        <f t="shared" si="4"/>
        <v>2965.212080736886</v>
      </c>
      <c r="F37" s="8">
        <f t="shared" si="5"/>
        <v>38530.787919263115</v>
      </c>
      <c r="G37" s="8">
        <f t="shared" si="0"/>
        <v>39501.10894223389</v>
      </c>
      <c r="H37" s="2">
        <f t="shared" si="6"/>
        <v>29470.1162241535</v>
      </c>
      <c r="I37" s="2">
        <f t="shared" si="1"/>
        <v>30</v>
      </c>
      <c r="J37" s="2">
        <f t="shared" si="2"/>
        <v>6528</v>
      </c>
      <c r="K37" s="2">
        <f t="shared" si="3"/>
        <v>-18583.8837758465</v>
      </c>
      <c r="L37" s="46">
        <f t="shared" si="9"/>
        <v>-342673.6046065465</v>
      </c>
      <c r="M37" s="38">
        <f t="shared" si="8"/>
        <v>0</v>
      </c>
      <c r="N37" s="44">
        <f t="shared" si="7"/>
        <v>0.9091562615825302</v>
      </c>
      <c r="O37" s="45">
        <v>20</v>
      </c>
    </row>
    <row r="38" spans="1:15" ht="11.25">
      <c r="A38" s="41" t="s">
        <v>57</v>
      </c>
      <c r="E38" s="8">
        <f t="shared" si="4"/>
        <v>1501.0421398048877</v>
      </c>
      <c r="F38" s="8">
        <f t="shared" si="5"/>
        <v>39501.10894223389</v>
      </c>
      <c r="G38" s="8">
        <f>G37-F38</f>
        <v>0</v>
      </c>
      <c r="H38" s="37">
        <f>(E$3*E$4*E$8)*(1-$E$5/100)*N38</f>
        <v>9222.929013325456</v>
      </c>
      <c r="I38" s="2">
        <f t="shared" si="1"/>
        <v>30</v>
      </c>
      <c r="J38" s="2"/>
      <c r="K38" s="2">
        <f>H38-(B38+C38+E38+F38)-(I38+J38)</f>
        <v>-31809.222068713323</v>
      </c>
      <c r="L38" s="2">
        <f t="shared" si="9"/>
        <v>-374482.82667525986</v>
      </c>
      <c r="M38" s="38">
        <f t="shared" si="8"/>
        <v>0</v>
      </c>
      <c r="N38" s="44">
        <f t="shared" si="7"/>
        <v>0.9046104802746175</v>
      </c>
      <c r="O38" s="41">
        <v>21</v>
      </c>
    </row>
    <row r="39" spans="1:15" ht="11.25">
      <c r="A39" s="41" t="s">
        <v>58</v>
      </c>
      <c r="E39" s="8">
        <f t="shared" si="4"/>
        <v>0</v>
      </c>
      <c r="F39" s="8">
        <f t="shared" si="5"/>
        <v>0</v>
      </c>
      <c r="G39" s="8">
        <f>G38-F39</f>
        <v>0</v>
      </c>
      <c r="H39" s="37">
        <f>(E$3*E$4*E$8)*(1-$E$5/100)*N39</f>
        <v>9176.814368258829</v>
      </c>
      <c r="I39" s="2">
        <f t="shared" si="1"/>
        <v>30</v>
      </c>
      <c r="J39" s="2"/>
      <c r="K39" s="2">
        <f>H39-(B39+C39+E39+F39)-(I39+J39)</f>
        <v>9146.814368258829</v>
      </c>
      <c r="L39" s="2">
        <f t="shared" si="9"/>
        <v>-365336.01230700104</v>
      </c>
      <c r="M39" s="38">
        <f t="shared" si="8"/>
        <v>0</v>
      </c>
      <c r="N39" s="44">
        <f t="shared" si="7"/>
        <v>0.9000874278732445</v>
      </c>
      <c r="O39" s="41">
        <v>22</v>
      </c>
    </row>
    <row r="40" spans="1:15" ht="11.25">
      <c r="A40" s="41" t="s">
        <v>59</v>
      </c>
      <c r="E40" s="8">
        <f t="shared" si="4"/>
        <v>0</v>
      </c>
      <c r="F40" s="8">
        <f t="shared" si="5"/>
        <v>0</v>
      </c>
      <c r="G40" s="8">
        <f>G39-F40</f>
        <v>0</v>
      </c>
      <c r="H40" s="37">
        <f>(E$3*E$4*E$8)*(1-$E$5/100)*N40</f>
        <v>9130.930296417535</v>
      </c>
      <c r="I40" s="2">
        <f t="shared" si="1"/>
        <v>30</v>
      </c>
      <c r="J40" s="2"/>
      <c r="K40" s="2">
        <f>H40-(B40+C40+E40+F40)-(I40+J40)</f>
        <v>9100.930296417535</v>
      </c>
      <c r="L40" s="2">
        <f t="shared" si="9"/>
        <v>-356235.0820105835</v>
      </c>
      <c r="M40" s="38">
        <f t="shared" si="8"/>
        <v>0</v>
      </c>
      <c r="N40" s="44">
        <f t="shared" si="7"/>
        <v>0.8955869907338783</v>
      </c>
      <c r="O40" s="41">
        <v>23</v>
      </c>
    </row>
    <row r="41" spans="1:15" ht="11.25">
      <c r="A41" s="41" t="s">
        <v>60</v>
      </c>
      <c r="E41" s="8">
        <f t="shared" si="4"/>
        <v>0</v>
      </c>
      <c r="F41" s="8">
        <f t="shared" si="5"/>
        <v>0</v>
      </c>
      <c r="G41" s="8">
        <f>G40-F41</f>
        <v>0</v>
      </c>
      <c r="H41" s="37">
        <f>(E$3*E$4*E$8)*(1-$E$5/100)*N41</f>
        <v>9085.275644935447</v>
      </c>
      <c r="I41" s="2">
        <f t="shared" si="1"/>
        <v>30</v>
      </c>
      <c r="J41" s="2"/>
      <c r="K41" s="2">
        <f>H41-(B41+C41+E41+F41)-(I41+J41)</f>
        <v>9055.275644935447</v>
      </c>
      <c r="L41" s="2">
        <f t="shared" si="9"/>
        <v>-347179.80636564805</v>
      </c>
      <c r="M41" s="38">
        <f t="shared" si="8"/>
        <v>0</v>
      </c>
      <c r="N41" s="44">
        <f t="shared" si="7"/>
        <v>0.8911090557802088</v>
      </c>
      <c r="O41" s="41">
        <v>24</v>
      </c>
    </row>
    <row r="42" spans="1:15" ht="11.25">
      <c r="A42" s="41" t="s">
        <v>61</v>
      </c>
      <c r="E42" s="8">
        <f t="shared" si="4"/>
        <v>0</v>
      </c>
      <c r="F42" s="8">
        <f t="shared" si="5"/>
        <v>0</v>
      </c>
      <c r="G42" s="8">
        <f>G41-F42</f>
        <v>0</v>
      </c>
      <c r="H42" s="37">
        <f>(E$3*E$4*E$8)*(1-$E$5/100)*N42</f>
        <v>9039.84926671077</v>
      </c>
      <c r="I42" s="2">
        <f t="shared" si="1"/>
        <v>30</v>
      </c>
      <c r="J42" s="2"/>
      <c r="K42" s="2">
        <f>H42-(B42+C42+E42+F42)-(I42+J42)</f>
        <v>9009.84926671077</v>
      </c>
      <c r="L42" s="2">
        <f t="shared" si="9"/>
        <v>-338169.9570989373</v>
      </c>
      <c r="M42" s="38">
        <f t="shared" si="8"/>
        <v>0</v>
      </c>
      <c r="N42" s="44">
        <f t="shared" si="7"/>
        <v>0.8866535105013078</v>
      </c>
      <c r="O42" s="41">
        <v>25</v>
      </c>
    </row>
    <row r="44" spans="5:6" ht="11.25">
      <c r="E44" s="49">
        <f>SUM(E18:E37)</f>
        <v>276621.10894223396</v>
      </c>
      <c r="F44" s="2">
        <f>SUM(F18:F37)</f>
        <v>553298.8910577662</v>
      </c>
    </row>
    <row r="46" spans="1:12" ht="11.25">
      <c r="A46" s="3" t="s">
        <v>27</v>
      </c>
      <c r="D46" s="36"/>
      <c r="E46" s="36"/>
      <c r="F46" s="36"/>
      <c r="G46" s="36"/>
      <c r="H46" s="36"/>
      <c r="I46" s="36"/>
      <c r="J46" s="36"/>
      <c r="K46" s="36"/>
      <c r="L46" s="35">
        <f>L42</f>
        <v>-338169.9570989373</v>
      </c>
    </row>
    <row r="51" ht="11.25">
      <c r="A51" s="4"/>
    </row>
  </sheetData>
  <sheetProtection selectLockedCells="1"/>
  <conditionalFormatting sqref="E3">
    <cfRule type="cellIs" priority="1" dxfId="0" operator="greaterThanOrEqual" stopIfTrue="1">
      <formula>0</formula>
    </cfRule>
  </conditionalFormatting>
  <dataValidations count="2">
    <dataValidation type="list" allowBlank="1" showInputMessage="1" showErrorMessage="1" sqref="E6">
      <formula1>"2003,2004,2005,2006,2007,2008,2009"</formula1>
    </dataValidation>
    <dataValidation type="decimal" allowBlank="1" showInputMessage="1" showErrorMessage="1" sqref="E3">
      <formula1>0</formula1>
      <formula2>100000</formula2>
    </dataValidation>
  </dataValidations>
  <printOptions/>
  <pageMargins left="0.7874015748031497" right="0.5905511811023623" top="0.984251968503937" bottom="0" header="0.5118110236220472" footer="0.31496062992125984"/>
  <pageSetup horizontalDpi="300" verticalDpi="300" orientation="landscape" paperSize="9" scale="96" r:id="rId1"/>
  <headerFooter alignWithMargins="0">
    <oddHeader xml:space="preserve">&amp;L&amp;"Arial,Fett"&amp;11Variante 2:   RMX -&amp;14Dachfläche&amp;11 mit rotgetönten Solarzellen bestückt , mit 60.000 € Förderung 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2005-07-28T13:41:41Z</cp:lastPrinted>
  <dcterms:created xsi:type="dcterms:W3CDTF">2003-07-24T08:24:22Z</dcterms:created>
  <dcterms:modified xsi:type="dcterms:W3CDTF">2005-07-28T13:41:59Z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378760730</vt:i4>
  </property>
  <property fmtid="{D5CDD505-2E9C-101B-9397-08002B2CF9AE}" pid="3" name="_EmailSubject">
    <vt:lpwstr>RMX - Photovoltaikvorlage</vt:lpwstr>
  </property>
  <property fmtid="{D5CDD505-2E9C-101B-9397-08002B2CF9AE}" pid="4" name="_AuthorEmail">
    <vt:lpwstr>Hermann-Josef.Schmitz@lvr.de</vt:lpwstr>
  </property>
  <property fmtid="{D5CDD505-2E9C-101B-9397-08002B2CF9AE}" pid="5" name="_AuthorEmailDisplayName">
    <vt:lpwstr>Schmitz, Hermann-Josef</vt:lpwstr>
  </property>
  <property fmtid="{D5CDD505-2E9C-101B-9397-08002B2CF9AE}" pid="6" name="_PreviousAdHocReviewCycleID">
    <vt:i4>941937278</vt:i4>
  </property>
</Properties>
</file>